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ropbox/Diabetes/"/>
    </mc:Choice>
  </mc:AlternateContent>
  <xr:revisionPtr revIDLastSave="0" documentId="13_ncr:1_{4CA3BD11-075F-624A-BA65-1BF05546AD8B}" xr6:coauthVersionLast="47" xr6:coauthVersionMax="47" xr10:uidLastSave="{00000000-0000-0000-0000-000000000000}"/>
  <bookViews>
    <workbookView xWindow="520" yWindow="760" windowWidth="28740" windowHeight="16340" xr2:uid="{871AFDEB-1ABE-4F7D-BD51-7B6F7C945CD6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" l="1"/>
  <c r="G6" i="3"/>
  <c r="G3" i="3"/>
  <c r="D6" i="3"/>
  <c r="F9" i="3"/>
  <c r="F6" i="3"/>
  <c r="E9" i="3"/>
  <c r="C9" i="3"/>
  <c r="B9" i="3"/>
  <c r="H6" i="3"/>
  <c r="E6" i="3"/>
  <c r="C6" i="3"/>
  <c r="B6" i="3"/>
  <c r="H3" i="3"/>
  <c r="E3" i="3"/>
  <c r="D3" i="3"/>
  <c r="C3" i="3"/>
  <c r="B3" i="3"/>
  <c r="F12" i="3" l="1"/>
  <c r="F15" i="3" s="1"/>
  <c r="I3" i="3"/>
  <c r="I9" i="3"/>
  <c r="I6" i="3"/>
  <c r="D12" i="3"/>
  <c r="D15" i="3" s="1"/>
  <c r="B12" i="3"/>
  <c r="B13" i="3" s="1"/>
  <c r="C12" i="3"/>
  <c r="C13" i="3" s="1"/>
  <c r="G12" i="3"/>
  <c r="H12" i="3"/>
  <c r="E12" i="3" l="1"/>
  <c r="E15" i="3" s="1"/>
  <c r="F16" i="3" s="1"/>
  <c r="F17" i="3" s="1"/>
</calcChain>
</file>

<file path=xl/sharedStrings.xml><?xml version="1.0" encoding="utf-8"?>
<sst xmlns="http://schemas.openxmlformats.org/spreadsheetml/2006/main" count="78" uniqueCount="52">
  <si>
    <t>hrs per week</t>
  </si>
  <si>
    <t>Obs</t>
  </si>
  <si>
    <t>Dietician (or equivalent staff member</t>
  </si>
  <si>
    <t>Type 1 per year</t>
  </si>
  <si>
    <t>Technology support</t>
  </si>
  <si>
    <t>Midwifery care/support (include admin/Band 4</t>
  </si>
  <si>
    <t>Diabetes consultant (Clinic + admin + IP review)</t>
  </si>
  <si>
    <t>Diabetes</t>
  </si>
  <si>
    <t>GDM</t>
  </si>
  <si>
    <t>Midwives and support</t>
  </si>
  <si>
    <t>Type 2 per year</t>
  </si>
  <si>
    <t>Obs consultant (Clinic + admin + IP review)</t>
  </si>
  <si>
    <t>Technology</t>
  </si>
  <si>
    <t>Midwifery</t>
  </si>
  <si>
    <t>12 contacts per pregnancy + MDT and IP support</t>
  </si>
  <si>
    <t xml:space="preserve">Technology </t>
  </si>
  <si>
    <t>1-2 contacts per week (inc face to face and telephone) + MDT + IP support</t>
  </si>
  <si>
    <t>Booking</t>
  </si>
  <si>
    <t>Dietician</t>
  </si>
  <si>
    <t>1 hour per pregnancy</t>
  </si>
  <si>
    <t>NPID</t>
  </si>
  <si>
    <t>2 hours per woman including admin, assuming pregnancy loss rate of 20%</t>
  </si>
  <si>
    <t>Obstetrics</t>
  </si>
  <si>
    <t>Diabetes Cons</t>
  </si>
  <si>
    <t>Time per woman per week</t>
  </si>
  <si>
    <t>Flex between DSM/DSN hours depending on skill mix</t>
  </si>
  <si>
    <t>Total midwife/DSN/dietician/support including booking (with uplift for prospective cover)</t>
  </si>
  <si>
    <t>Based on an average of 8 contacts per woman per year (over 52 weeks) + 50% of women discussed at MDT for 30 mins once per pregnancy and inpatient reviews (30mins per pregnancy). Total hours needs to include arrangements for prospective cover</t>
  </si>
  <si>
    <t>10 contacts per pregnancy</t>
  </si>
  <si>
    <t>8 contacts per pregnancy</t>
  </si>
  <si>
    <t>Total time per woman per week</t>
  </si>
  <si>
    <t>Total hours per week</t>
  </si>
  <si>
    <t>Enter number per year</t>
  </si>
  <si>
    <t>INCREASE if Obs/DSM only GDM clinic</t>
  </si>
  <si>
    <t>Type 1 diabetes</t>
  </si>
  <si>
    <t>Type 2 Diabetes</t>
  </si>
  <si>
    <t>Total Posts (FTE)Midwife/DSN/support/dietician (with uplift for prospective cover)</t>
  </si>
  <si>
    <r>
      <t>Based on an average</t>
    </r>
    <r>
      <rPr>
        <sz val="11"/>
        <color theme="1"/>
        <rFont val="Calibri (Body)"/>
      </rPr>
      <t xml:space="preserve"> of 16x30 min</t>
    </r>
    <r>
      <rPr>
        <sz val="11"/>
        <color theme="1"/>
        <rFont val="Calibri"/>
        <family val="2"/>
        <scheme val="minor"/>
      </rPr>
      <t xml:space="preserve"> contacts per pregnancy for women with early/prior GDM (33%) and 9x30min contacts for later GDM including meter/monitoring set up and insulin starts</t>
    </r>
  </si>
  <si>
    <t>Enter number per year (min 15)</t>
  </si>
  <si>
    <t>Summary</t>
  </si>
  <si>
    <t>FTE Posts (including prospective cover x1.2)</t>
  </si>
  <si>
    <t>Consultant PAs (including prospective cover x1.2)</t>
  </si>
  <si>
    <t>INCREASE if DSN cover not achievable. REDUCE if diabetes contact not provided for uncomplicated GDM</t>
  </si>
  <si>
    <t>Consider uplift for diabetes services within MMC to include management of women with complex diabetes</t>
  </si>
  <si>
    <t>2 contacts per pregnancy (on average)</t>
  </si>
  <si>
    <t>3 contacts per pregnancy (on average) assuming additional obstetric support from trainees. Flex between Obs and Diabetes PAs depending on provision for GDMs</t>
  </si>
  <si>
    <t>3 hour per pregnancy</t>
  </si>
  <si>
    <t>Technology 6 hours per pregnancy recongnising increasing use of CGM</t>
  </si>
  <si>
    <t>1.5 hours per woman including admin, assuming pregnancy loss rate of 10%</t>
  </si>
  <si>
    <t>10 hour per pregnancy (recognising need for rapid structured education for carb counting)</t>
  </si>
  <si>
    <r>
      <t xml:space="preserve">Based on an average of 10 contacts (or approximately 5 hours) per woman per year (over 52 weeks) + 50% of women discussed at MDT for 30 mins once per pregnancy and inpatient reviews (30mins per pregnancy). Total hours needs to include arrangements for prospective cover. </t>
    </r>
    <r>
      <rPr>
        <b/>
        <sz val="11"/>
        <color theme="1"/>
        <rFont val="Calibri"/>
        <family val="2"/>
        <scheme val="minor"/>
      </rPr>
      <t>***For services without a DSN - significant increase in diabetes cover will be required***</t>
    </r>
  </si>
  <si>
    <t>1-2 contacts per week (inc midiwfery care, diabetes review, MDT and IP support). Some hours may be used for meter and insulin starts by e.g. DSNs Band 4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</si>
</sst>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1"/>
      <name val="Calibri (Body)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ck">
        <color rgb="FF7030A0"/>
      </left>
      <right style="thin">
        <color theme="1"/>
      </right>
      <top style="thick">
        <color rgb="FF7030A0"/>
      </top>
      <bottom style="thick">
        <color rgb="FF7030A0"/>
      </bottom>
      <diagonal/>
    </border>
    <border>
      <left style="thin">
        <color theme="1"/>
      </left>
      <right style="thin">
        <color theme="1"/>
      </right>
      <top style="thick">
        <color rgb="FF7030A0"/>
      </top>
      <bottom style="thick">
        <color rgb="FF7030A0"/>
      </bottom>
      <diagonal/>
    </border>
    <border>
      <left style="thin">
        <color theme="1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ck">
        <color rgb="FFFF0000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0" fontId="2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0" fontId="0" fillId="2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0" fontId="0" fillId="4" borderId="0" xfId="0" applyFill="1" applyAlignment="1">
      <alignment horizontal="right" vertical="center"/>
    </xf>
    <xf numFmtId="0" fontId="1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5" borderId="1" xfId="0" applyFill="1" applyBorder="1"/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/>
    </xf>
    <xf numFmtId="164" fontId="2" fillId="4" borderId="4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left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/>
    </xf>
    <xf numFmtId="164" fontId="0" fillId="6" borderId="3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2" fontId="0" fillId="8" borderId="3" xfId="0" applyNumberForma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left" vertical="center" wrapText="1"/>
    </xf>
    <xf numFmtId="0" fontId="0" fillId="7" borderId="4" xfId="0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/>
    </xf>
    <xf numFmtId="0" fontId="2" fillId="7" borderId="7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/>
    </xf>
    <xf numFmtId="0" fontId="0" fillId="5" borderId="7" xfId="0" applyFill="1" applyBorder="1"/>
    <xf numFmtId="164" fontId="3" fillId="8" borderId="0" xfId="0" applyNumberFormat="1" applyFon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/>
    <xf numFmtId="164" fontId="2" fillId="4" borderId="0" xfId="0" applyNumberFormat="1" applyFont="1" applyFill="1" applyAlignment="1">
      <alignment horizontal="center" vertical="center"/>
    </xf>
    <xf numFmtId="0" fontId="0" fillId="4" borderId="14" xfId="0" applyFill="1" applyBorder="1" applyAlignment="1">
      <alignment vertical="center"/>
    </xf>
    <xf numFmtId="0" fontId="0" fillId="4" borderId="14" xfId="0" applyFill="1" applyBorder="1" applyAlignment="1">
      <alignment horizontal="center" vertical="center"/>
    </xf>
    <xf numFmtId="0" fontId="0" fillId="4" borderId="13" xfId="0" applyFill="1" applyBorder="1"/>
    <xf numFmtId="0" fontId="0" fillId="4" borderId="12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4" borderId="15" xfId="0" applyFill="1" applyBorder="1" applyAlignment="1">
      <alignment horizontal="center" vertical="center"/>
    </xf>
    <xf numFmtId="0" fontId="0" fillId="4" borderId="5" xfId="0" applyFill="1" applyBorder="1"/>
    <xf numFmtId="0" fontId="0" fillId="4" borderId="5" xfId="0" applyFill="1" applyBorder="1" applyAlignment="1">
      <alignment horizontal="center" vertical="center"/>
    </xf>
    <xf numFmtId="0" fontId="0" fillId="4" borderId="16" xfId="0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 wrapText="1"/>
    </xf>
    <xf numFmtId="164" fontId="10" fillId="4" borderId="9" xfId="0" applyNumberFormat="1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164" fontId="9" fillId="4" borderId="4" xfId="0" applyNumberFormat="1" applyFont="1" applyFill="1" applyBorder="1" applyAlignment="1">
      <alignment horizontal="center" vertical="center"/>
    </xf>
    <xf numFmtId="164" fontId="10" fillId="4" borderId="6" xfId="0" applyNumberFormat="1" applyFont="1" applyFill="1" applyBorder="1" applyAlignment="1">
      <alignment horizontal="center" vertical="center"/>
    </xf>
    <xf numFmtId="164" fontId="10" fillId="4" borderId="10" xfId="0" applyNumberFormat="1" applyFont="1" applyFill="1" applyBorder="1" applyAlignment="1">
      <alignment horizontal="center" vertical="center"/>
    </xf>
    <xf numFmtId="0" fontId="0" fillId="6" borderId="6" xfId="0" applyFill="1" applyBorder="1" applyAlignment="1" applyProtection="1">
      <alignment horizontal="left" vertical="center"/>
      <protection locked="0"/>
    </xf>
    <xf numFmtId="0" fontId="0" fillId="7" borderId="6" xfId="0" applyFill="1" applyBorder="1" applyAlignment="1" applyProtection="1">
      <alignment horizontal="left" vertical="center"/>
      <protection locked="0"/>
    </xf>
    <xf numFmtId="0" fontId="0" fillId="8" borderId="6" xfId="0" applyFill="1" applyBorder="1" applyAlignment="1" applyProtection="1">
      <alignment horizontal="left" vertical="center"/>
      <protection locked="0"/>
    </xf>
    <xf numFmtId="0" fontId="9" fillId="4" borderId="1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164" fontId="9" fillId="4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ED729-0A12-EF45-9989-ECCED554F655}">
  <dimension ref="A1:L25"/>
  <sheetViews>
    <sheetView tabSelected="1" topLeftCell="A3" workbookViewId="0">
      <selection activeCell="L12" sqref="L12"/>
    </sheetView>
  </sheetViews>
  <sheetFormatPr baseColWidth="10" defaultRowHeight="15" x14ac:dyDescent="0.2"/>
  <cols>
    <col min="1" max="1" width="25" customWidth="1"/>
    <col min="2" max="2" width="22.1640625" customWidth="1"/>
    <col min="3" max="3" width="21.1640625" customWidth="1"/>
    <col min="4" max="4" width="22" customWidth="1"/>
    <col min="5" max="5" width="24" customWidth="1"/>
    <col min="6" max="6" width="21.5" customWidth="1"/>
    <col min="11" max="11" width="20" customWidth="1"/>
    <col min="12" max="12" width="121.83203125" customWidth="1"/>
  </cols>
  <sheetData>
    <row r="1" spans="1:12" ht="48" x14ac:dyDescent="0.2">
      <c r="A1" s="19" t="s">
        <v>3</v>
      </c>
      <c r="B1" s="20" t="s">
        <v>6</v>
      </c>
      <c r="C1" s="20" t="s">
        <v>11</v>
      </c>
      <c r="D1" s="20" t="s">
        <v>4</v>
      </c>
      <c r="E1" s="20" t="s">
        <v>5</v>
      </c>
      <c r="F1" s="20" t="s">
        <v>2</v>
      </c>
      <c r="G1" s="20" t="s">
        <v>17</v>
      </c>
      <c r="H1" s="20" t="s">
        <v>20</v>
      </c>
      <c r="I1" s="20" t="s">
        <v>30</v>
      </c>
      <c r="K1" s="11"/>
      <c r="L1" s="1"/>
    </row>
    <row r="2" spans="1:12" ht="22" customHeight="1" thickBot="1" x14ac:dyDescent="0.25">
      <c r="A2" s="49" t="s">
        <v>38</v>
      </c>
      <c r="B2" s="20" t="s">
        <v>0</v>
      </c>
      <c r="C2" s="21"/>
      <c r="D2" s="21"/>
      <c r="E2" s="21"/>
      <c r="F2" s="21"/>
      <c r="G2" s="21"/>
      <c r="H2" s="21"/>
      <c r="I2" s="21"/>
      <c r="K2" s="11" t="s">
        <v>34</v>
      </c>
      <c r="L2" s="2"/>
    </row>
    <row r="3" spans="1:12" ht="27" customHeight="1" thickTop="1" thickBot="1" x14ac:dyDescent="0.25">
      <c r="A3" s="75">
        <v>45</v>
      </c>
      <c r="B3" s="46">
        <f>(A3*10*0.5/52)+(A3*0.5*0.5/52)+(A3*0.5/52)</f>
        <v>4.9759615384615383</v>
      </c>
      <c r="C3" s="22">
        <f>($A3*8/52*0.3)+($A3*0.5*0.5/52)+($A3*0.5/52)</f>
        <v>2.7259615384615383</v>
      </c>
      <c r="D3" s="22">
        <f>($A3*45/52)+($A3*0.5/52)+($A3*0.5/52)</f>
        <v>39.807692307692307</v>
      </c>
      <c r="E3" s="22">
        <f>($A3*12*0.5/52)+($A3*0.5/52)+($A3*0.5*0.5/52)</f>
        <v>5.8413461538461542</v>
      </c>
      <c r="F3" s="22">
        <f>A3*10/52</f>
        <v>8.6538461538461533</v>
      </c>
      <c r="G3" s="23">
        <f>A3*1.5*1.1</f>
        <v>74.25</v>
      </c>
      <c r="H3" s="22">
        <f t="shared" ref="H3" si="0">A3*1/52</f>
        <v>0.86538461538461542</v>
      </c>
      <c r="I3" s="22">
        <f>(SUM(B3:F3)+H3)/A3</f>
        <v>1.3971153846153845</v>
      </c>
      <c r="K3" s="12" t="s">
        <v>23</v>
      </c>
      <c r="L3" s="2" t="s">
        <v>50</v>
      </c>
    </row>
    <row r="4" spans="1:12" ht="49" thickTop="1" x14ac:dyDescent="0.2">
      <c r="A4" s="52" t="s">
        <v>10</v>
      </c>
      <c r="B4" s="24" t="s">
        <v>6</v>
      </c>
      <c r="C4" s="24" t="s">
        <v>11</v>
      </c>
      <c r="D4" s="24" t="s">
        <v>4</v>
      </c>
      <c r="E4" s="24" t="s">
        <v>5</v>
      </c>
      <c r="F4" s="24" t="s">
        <v>2</v>
      </c>
      <c r="G4" s="24" t="s">
        <v>17</v>
      </c>
      <c r="H4" s="24" t="s">
        <v>20</v>
      </c>
      <c r="I4" s="24" t="s">
        <v>30</v>
      </c>
      <c r="K4" s="12" t="s">
        <v>1</v>
      </c>
      <c r="L4" s="2" t="s">
        <v>27</v>
      </c>
    </row>
    <row r="5" spans="1:12" ht="22" customHeight="1" thickBot="1" x14ac:dyDescent="0.25">
      <c r="A5" s="50" t="s">
        <v>38</v>
      </c>
      <c r="B5" s="24" t="s">
        <v>0</v>
      </c>
      <c r="C5" s="25"/>
      <c r="D5" s="25"/>
      <c r="E5" s="25"/>
      <c r="F5" s="25"/>
      <c r="G5" s="26"/>
      <c r="H5" s="26"/>
      <c r="I5" s="26"/>
      <c r="K5" s="12" t="s">
        <v>15</v>
      </c>
      <c r="L5" s="3" t="s">
        <v>16</v>
      </c>
    </row>
    <row r="6" spans="1:12" ht="33" customHeight="1" thickTop="1" thickBot="1" x14ac:dyDescent="0.25">
      <c r="A6" s="76">
        <v>60</v>
      </c>
      <c r="B6" s="47">
        <f>(A6*10/52*0.5)+(A6*0.5*0.5/52)+(A6*0.5/52)</f>
        <v>6.6346153846153841</v>
      </c>
      <c r="C6" s="27">
        <f>($A6*8*0.3/52)+($A6*0.5*0.5/52)+($A6*0.5/52)</f>
        <v>3.6346153846153841</v>
      </c>
      <c r="D6" s="27">
        <f>($A6*6/52)</f>
        <v>6.9230769230769234</v>
      </c>
      <c r="E6" s="27">
        <f>($A6*44/52)+($A6*0.5/52)+($A6*0.5*0.5/52)</f>
        <v>51.634615384615387</v>
      </c>
      <c r="F6" s="27">
        <f>A6*3/52</f>
        <v>3.4615384615384617</v>
      </c>
      <c r="G6" s="26">
        <f>A6*1.5*1.1</f>
        <v>99.000000000000014</v>
      </c>
      <c r="H6" s="27">
        <f t="shared" ref="H6" si="1">A6*1/52</f>
        <v>1.1538461538461537</v>
      </c>
      <c r="I6" s="27">
        <f>(SUM(B6:F6)+H6)/A6</f>
        <v>1.2240384615384619</v>
      </c>
      <c r="K6" s="12" t="s">
        <v>13</v>
      </c>
      <c r="L6" s="3" t="s">
        <v>14</v>
      </c>
    </row>
    <row r="7" spans="1:12" ht="49" thickTop="1" x14ac:dyDescent="0.2">
      <c r="A7" s="53" t="s">
        <v>8</v>
      </c>
      <c r="B7" s="28" t="s">
        <v>6</v>
      </c>
      <c r="C7" s="28" t="s">
        <v>11</v>
      </c>
      <c r="D7" s="28" t="s">
        <v>4</v>
      </c>
      <c r="E7" s="28" t="s">
        <v>5</v>
      </c>
      <c r="F7" s="28" t="s">
        <v>2</v>
      </c>
      <c r="G7" s="28" t="s">
        <v>17</v>
      </c>
      <c r="H7" s="28" t="s">
        <v>20</v>
      </c>
      <c r="I7" s="28" t="s">
        <v>24</v>
      </c>
      <c r="K7" s="12" t="s">
        <v>17</v>
      </c>
      <c r="L7" s="2" t="s">
        <v>48</v>
      </c>
    </row>
    <row r="8" spans="1:12" ht="22" customHeight="1" thickBot="1" x14ac:dyDescent="0.25">
      <c r="A8" s="51" t="s">
        <v>32</v>
      </c>
      <c r="B8" s="28" t="s">
        <v>0</v>
      </c>
      <c r="C8" s="29"/>
      <c r="D8" s="29"/>
      <c r="E8" s="29"/>
      <c r="F8" s="29"/>
      <c r="G8" s="29"/>
      <c r="H8" s="29"/>
      <c r="I8" s="30"/>
      <c r="K8" s="12" t="s">
        <v>18</v>
      </c>
      <c r="L8" s="2" t="s">
        <v>49</v>
      </c>
    </row>
    <row r="9" spans="1:12" ht="35" customHeight="1" thickTop="1" thickBot="1" x14ac:dyDescent="0.25">
      <c r="A9" s="77">
        <v>700</v>
      </c>
      <c r="B9" s="48">
        <f>$A9*0.3/52*2</f>
        <v>8.0769230769230766</v>
      </c>
      <c r="C9" s="31">
        <f>$A9*0.3/52*3</f>
        <v>12.115384615384615</v>
      </c>
      <c r="D9" s="32"/>
      <c r="E9" s="55">
        <f>(A9*0.666*9*0.5/52)+(A9*0.333*16*0.5/52)</f>
        <v>76.205769230769235</v>
      </c>
      <c r="F9" s="30">
        <f>A9*1/52</f>
        <v>13.461538461538462</v>
      </c>
      <c r="G9" s="32"/>
      <c r="H9" s="32"/>
      <c r="I9" s="30">
        <f t="shared" ref="I9" si="2">SUM(B9:H9)/A9</f>
        <v>0.15694230769230771</v>
      </c>
      <c r="K9" s="13"/>
      <c r="L9" s="10"/>
    </row>
    <row r="10" spans="1:12" ht="16" thickTop="1" x14ac:dyDescent="0.2">
      <c r="A10" s="54"/>
      <c r="B10" s="33"/>
      <c r="C10" s="33"/>
      <c r="D10" s="33"/>
      <c r="E10" s="33"/>
      <c r="F10" s="33"/>
      <c r="G10" s="33"/>
      <c r="H10" s="33"/>
      <c r="I10" s="33"/>
      <c r="K10" s="14" t="s">
        <v>35</v>
      </c>
      <c r="L10" s="4"/>
    </row>
    <row r="11" spans="1:12" ht="22" customHeight="1" x14ac:dyDescent="0.2">
      <c r="A11" s="78" t="s">
        <v>39</v>
      </c>
      <c r="B11" s="34"/>
      <c r="C11" s="34"/>
      <c r="D11" s="34"/>
      <c r="E11" s="34"/>
      <c r="F11" s="34"/>
      <c r="G11" s="34"/>
      <c r="H11" s="34"/>
      <c r="I11" s="35"/>
      <c r="K11" s="15" t="s">
        <v>12</v>
      </c>
      <c r="L11" s="5" t="s">
        <v>47</v>
      </c>
    </row>
    <row r="12" spans="1:12" ht="36" customHeight="1" thickBot="1" x14ac:dyDescent="0.25">
      <c r="A12" s="79" t="s">
        <v>31</v>
      </c>
      <c r="B12" s="42">
        <f>SUM(B9+B6+B3)</f>
        <v>19.6875</v>
      </c>
      <c r="C12" s="42">
        <f>SUM(C9+C6+C3)</f>
        <v>18.47596153846154</v>
      </c>
      <c r="D12" s="36">
        <f>SUM(D9+D6+D3)</f>
        <v>46.730769230769226</v>
      </c>
      <c r="E12" s="36">
        <f>SUM(E9+E6+E3+I3+I6)</f>
        <v>136.30288461538461</v>
      </c>
      <c r="F12" s="36">
        <f>SUM(F6+F3+F9)</f>
        <v>25.576923076923077</v>
      </c>
      <c r="G12" s="36">
        <f t="shared" ref="G12:H12" si="3">SUM(G6+G3)</f>
        <v>173.25</v>
      </c>
      <c r="H12" s="36">
        <f t="shared" si="3"/>
        <v>2.0192307692307692</v>
      </c>
      <c r="I12" s="36"/>
      <c r="K12" s="15" t="s">
        <v>13</v>
      </c>
      <c r="L12" s="5" t="s">
        <v>51</v>
      </c>
    </row>
    <row r="13" spans="1:12" ht="42" customHeight="1" thickTop="1" thickBot="1" x14ac:dyDescent="0.25">
      <c r="A13" s="69" t="s">
        <v>41</v>
      </c>
      <c r="B13" s="70">
        <f>B12/4*1.2</f>
        <v>5.90625</v>
      </c>
      <c r="C13" s="74">
        <f>C12/4*1.2</f>
        <v>5.5427884615384615</v>
      </c>
      <c r="D13" s="60"/>
      <c r="E13" s="60"/>
      <c r="F13" s="61"/>
      <c r="G13" s="61"/>
      <c r="H13" s="61"/>
      <c r="I13" s="62"/>
      <c r="K13" s="15" t="s">
        <v>17</v>
      </c>
      <c r="L13" s="6" t="s">
        <v>21</v>
      </c>
    </row>
    <row r="14" spans="1:12" ht="77" customHeight="1" thickTop="1" x14ac:dyDescent="0.2">
      <c r="A14" s="80"/>
      <c r="B14" s="43" t="s">
        <v>42</v>
      </c>
      <c r="C14" s="44" t="s">
        <v>33</v>
      </c>
      <c r="D14" s="63"/>
      <c r="E14" s="64"/>
      <c r="F14" s="65"/>
      <c r="G14" s="57"/>
      <c r="H14" s="57"/>
      <c r="I14" s="58"/>
      <c r="K14" s="15" t="s">
        <v>18</v>
      </c>
      <c r="L14" s="6" t="s">
        <v>46</v>
      </c>
    </row>
    <row r="15" spans="1:12" ht="35" thickBot="1" x14ac:dyDescent="0.25">
      <c r="A15" s="81" t="s">
        <v>40</v>
      </c>
      <c r="B15" s="36"/>
      <c r="C15" s="37"/>
      <c r="D15" s="71">
        <f>D12*1.2/37</f>
        <v>1.5155925155925154</v>
      </c>
      <c r="E15" s="72">
        <f>E12*1.2/37</f>
        <v>4.420634095634095</v>
      </c>
      <c r="F15" s="82">
        <f>F12*1.2/37</f>
        <v>0.8295218295218294</v>
      </c>
      <c r="G15" s="57"/>
      <c r="H15" s="57"/>
      <c r="I15" s="58"/>
      <c r="K15" s="15" t="s">
        <v>7</v>
      </c>
      <c r="L15" s="5" t="s">
        <v>28</v>
      </c>
    </row>
    <row r="16" spans="1:12" ht="86" customHeight="1" thickTop="1" thickBot="1" x14ac:dyDescent="0.25">
      <c r="A16" s="38"/>
      <c r="B16" s="39" t="s">
        <v>43</v>
      </c>
      <c r="C16" s="18"/>
      <c r="D16" s="40" t="s">
        <v>25</v>
      </c>
      <c r="E16" s="45" t="s">
        <v>36</v>
      </c>
      <c r="F16" s="73">
        <f>SUM(D15:F15)</f>
        <v>6.7657484407484398</v>
      </c>
      <c r="G16" s="59"/>
      <c r="H16" s="57"/>
      <c r="I16" s="58"/>
      <c r="K16" s="15" t="s">
        <v>22</v>
      </c>
      <c r="L16" s="5" t="s">
        <v>29</v>
      </c>
    </row>
    <row r="17" spans="1:12" ht="68" customHeight="1" thickTop="1" thickBot="1" x14ac:dyDescent="0.25">
      <c r="A17" s="41"/>
      <c r="B17" s="66"/>
      <c r="C17" s="67"/>
      <c r="D17" s="68"/>
      <c r="E17" s="45" t="s">
        <v>26</v>
      </c>
      <c r="F17" s="73">
        <f>F16+(SUM(G3,G6)/37)</f>
        <v>11.448180873180872</v>
      </c>
      <c r="G17" s="59"/>
      <c r="H17" s="57"/>
      <c r="I17" s="58"/>
      <c r="K17" s="13"/>
      <c r="L17" s="9"/>
    </row>
    <row r="18" spans="1:12" ht="16" thickTop="1" x14ac:dyDescent="0.2">
      <c r="K18" s="16" t="s">
        <v>8</v>
      </c>
      <c r="L18" s="7"/>
    </row>
    <row r="19" spans="1:12" x14ac:dyDescent="0.2">
      <c r="K19" s="17" t="s">
        <v>7</v>
      </c>
      <c r="L19" s="8" t="s">
        <v>44</v>
      </c>
    </row>
    <row r="20" spans="1:12" x14ac:dyDescent="0.2">
      <c r="K20" s="17" t="s">
        <v>22</v>
      </c>
      <c r="L20" s="8" t="s">
        <v>45</v>
      </c>
    </row>
    <row r="21" spans="1:12" x14ac:dyDescent="0.2">
      <c r="K21" s="17" t="s">
        <v>18</v>
      </c>
      <c r="L21" s="8" t="s">
        <v>19</v>
      </c>
    </row>
    <row r="22" spans="1:12" ht="32" x14ac:dyDescent="0.2">
      <c r="K22" s="17" t="s">
        <v>9</v>
      </c>
      <c r="L22" s="56" t="s">
        <v>37</v>
      </c>
    </row>
    <row r="23" spans="1:12" x14ac:dyDescent="0.2">
      <c r="K23" s="17"/>
      <c r="L23" s="8"/>
    </row>
    <row r="24" spans="1:12" x14ac:dyDescent="0.2">
      <c r="K24" s="17"/>
      <c r="L24" s="8"/>
    </row>
    <row r="25" spans="1:12" x14ac:dyDescent="0.2">
      <c r="K25" s="17"/>
      <c r="L25" s="8"/>
    </row>
  </sheetData>
  <sheetProtection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D7DAC282DA5E41899EDE5CBD083A9B" ma:contentTypeVersion="17" ma:contentTypeDescription="Create a new document." ma:contentTypeScope="" ma:versionID="0312fb31e60933c5be7998eb58cb2421">
  <xsd:schema xmlns:xsd="http://www.w3.org/2001/XMLSchema" xmlns:xs="http://www.w3.org/2001/XMLSchema" xmlns:p="http://schemas.microsoft.com/office/2006/metadata/properties" xmlns:ns2="e0a7fd9f-8a57-48e0-8fbe-16e48649da77" xmlns:ns3="fd42ae6a-47dd-480c-880c-f53f93b6ade8" targetNamespace="http://schemas.microsoft.com/office/2006/metadata/properties" ma:root="true" ma:fieldsID="846510c974a0bee5e271b141ee13b3fe" ns2:_="" ns3:_="">
    <xsd:import namespace="e0a7fd9f-8a57-48e0-8fbe-16e48649da77"/>
    <xsd:import namespace="fd42ae6a-47dd-480c-880c-f53f93b6ade8"/>
    <xsd:element name="properties">
      <xsd:complexType>
        <xsd:sequence>
          <xsd:element name="documentManagement">
            <xsd:complexType>
              <xsd:all>
                <xsd:element ref="ns2:VIshReviewed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7fd9f-8a57-48e0-8fbe-16e48649da77" elementFormDefault="qualified">
    <xsd:import namespace="http://schemas.microsoft.com/office/2006/documentManagement/types"/>
    <xsd:import namespace="http://schemas.microsoft.com/office/infopath/2007/PartnerControls"/>
    <xsd:element name="VIshReviewed" ma:index="3" nillable="true" ma:displayName="VIsh Reviewed" ma:default="1" ma:description="YES" ma:format="Dropdown" ma:internalName="VIshReviewed">
      <xsd:simpleType>
        <xsd:restriction base="dms:Boolean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4960faec-74a3-420b-b522-51e7e1c187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hidden="true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2ae6a-47dd-480c-880c-f53f93b6ad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5" nillable="true" ma:displayName="Taxonomy Catch All Column" ma:hidden="true" ma:list="{de38dd95-d88f-46b3-82ba-68185701d8d5}" ma:internalName="TaxCatchAll" ma:readOnly="false" ma:showField="CatchAllData" ma:web="fd42ae6a-47dd-480c-880c-f53f93b6ad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IshReviewed xmlns="e0a7fd9f-8a57-48e0-8fbe-16e48649da77">true</VIshReviewed>
    <TaxCatchAll xmlns="fd42ae6a-47dd-480c-880c-f53f93b6ade8" xsi:nil="true"/>
    <lcf76f155ced4ddcb4097134ff3c332f xmlns="e0a7fd9f-8a57-48e0-8fbe-16e48649da7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A3E7112-7C92-4E41-927B-CA12DD130818}"/>
</file>

<file path=customXml/itemProps2.xml><?xml version="1.0" encoding="utf-8"?>
<ds:datastoreItem xmlns:ds="http://schemas.openxmlformats.org/officeDocument/2006/customXml" ds:itemID="{10607385-B114-4FBD-A4AD-67FCB909E745}"/>
</file>

<file path=customXml/itemProps3.xml><?xml version="1.0" encoding="utf-8"?>
<ds:datastoreItem xmlns:ds="http://schemas.openxmlformats.org/officeDocument/2006/customXml" ds:itemID="{95CD8A75-2249-450C-8157-E4179E917A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Myers</dc:creator>
  <cp:lastModifiedBy>Myers Jenny (R0A) Manchester University NHS FT</cp:lastModifiedBy>
  <dcterms:created xsi:type="dcterms:W3CDTF">2023-12-08T10:51:05Z</dcterms:created>
  <dcterms:modified xsi:type="dcterms:W3CDTF">2024-02-22T17:20:45Z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0x010100CDD7DAC282DA5E41899EDE5CBD083A9B</vt:lpwstr>
  </property>
</Properties>
</file>